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a\Downloads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H41" i="1" l="1"/>
  <c r="R86" i="1" l="1"/>
  <c r="R89" i="1"/>
  <c r="Q89" i="1"/>
  <c r="Q86" i="1"/>
  <c r="Q84" i="1"/>
  <c r="I87" i="1"/>
  <c r="L86" i="1"/>
  <c r="L85" i="1"/>
  <c r="K85" i="1"/>
  <c r="K84" i="1"/>
  <c r="D30" i="1" l="1"/>
  <c r="E49" i="1" l="1"/>
  <c r="E48" i="1"/>
  <c r="E47" i="1"/>
  <c r="E46" i="1"/>
  <c r="E45" i="1"/>
  <c r="E44" i="1"/>
  <c r="E43" i="1"/>
  <c r="E42" i="1"/>
  <c r="E41" i="1"/>
  <c r="D49" i="1"/>
  <c r="D48" i="1"/>
  <c r="D47" i="1"/>
  <c r="D46" i="1"/>
  <c r="D45" i="1"/>
  <c r="D44" i="1"/>
  <c r="D43" i="1"/>
  <c r="D42" i="1"/>
  <c r="D41" i="1"/>
  <c r="C49" i="1"/>
  <c r="C48" i="1"/>
  <c r="C47" i="1"/>
  <c r="C46" i="1"/>
  <c r="C45" i="1"/>
  <c r="C44" i="1"/>
  <c r="C43" i="1"/>
  <c r="C42" i="1"/>
  <c r="C41" i="1"/>
  <c r="G45" i="1" l="1"/>
  <c r="C71" i="1" l="1"/>
  <c r="H69" i="1" s="1"/>
  <c r="C70" i="1"/>
  <c r="H70" i="1" s="1"/>
  <c r="G69" i="1"/>
  <c r="H68" i="1"/>
  <c r="C67" i="1"/>
  <c r="H67" i="1" s="1"/>
  <c r="C66" i="1"/>
  <c r="C72" i="1" s="1"/>
  <c r="D51" i="1"/>
  <c r="E51" i="1"/>
  <c r="C51" i="1"/>
  <c r="D50" i="1"/>
  <c r="E50" i="1"/>
  <c r="C50" i="1"/>
  <c r="H42" i="1"/>
  <c r="H43" i="1"/>
  <c r="H44" i="1"/>
  <c r="H45" i="1"/>
  <c r="H46" i="1"/>
  <c r="H47" i="1"/>
  <c r="H48" i="1"/>
  <c r="H49" i="1"/>
  <c r="G42" i="1"/>
  <c r="G43" i="1"/>
  <c r="G44" i="1"/>
  <c r="G46" i="1"/>
  <c r="G47" i="1"/>
  <c r="G48" i="1"/>
  <c r="G49" i="1"/>
  <c r="G41" i="1"/>
  <c r="F42" i="1"/>
  <c r="H55" i="1" s="1"/>
  <c r="F43" i="1"/>
  <c r="I55" i="1" s="1"/>
  <c r="F44" i="1"/>
  <c r="G56" i="1" s="1"/>
  <c r="F45" i="1"/>
  <c r="H56" i="1" s="1"/>
  <c r="F46" i="1"/>
  <c r="I56" i="1" s="1"/>
  <c r="F47" i="1"/>
  <c r="G57" i="1" s="1"/>
  <c r="F48" i="1"/>
  <c r="H57" i="1" s="1"/>
  <c r="F49" i="1"/>
  <c r="I57" i="1" s="1"/>
  <c r="F41" i="1"/>
  <c r="G55" i="1" s="1"/>
  <c r="G32" i="1"/>
  <c r="H59" i="1" l="1"/>
  <c r="K57" i="1"/>
  <c r="J57" i="1"/>
  <c r="J56" i="1"/>
  <c r="I59" i="1"/>
  <c r="K55" i="1"/>
  <c r="F50" i="1"/>
  <c r="J55" i="1"/>
  <c r="K56" i="1"/>
  <c r="G58" i="1"/>
  <c r="I58" i="1"/>
  <c r="G59" i="1"/>
  <c r="G66" i="1"/>
  <c r="G67" i="1"/>
  <c r="G70" i="1"/>
  <c r="H58" i="1"/>
  <c r="H66" i="1"/>
  <c r="G68" i="1"/>
  <c r="D32" i="1"/>
  <c r="B32" i="1"/>
  <c r="C53" i="1" l="1"/>
  <c r="J58" i="1"/>
  <c r="D33" i="1"/>
  <c r="C54" i="1" l="1"/>
  <c r="C55" i="1"/>
  <c r="D66" i="1" s="1"/>
  <c r="E66" i="1" s="1"/>
  <c r="C59" i="1"/>
  <c r="D69" i="1" s="1"/>
  <c r="E69" i="1" s="1"/>
  <c r="C58" i="1"/>
  <c r="D68" i="1" s="1"/>
  <c r="E68" i="1" s="1"/>
  <c r="C56" i="1"/>
  <c r="C37" i="1"/>
  <c r="D67" i="1" l="1"/>
  <c r="E67" i="1" s="1"/>
  <c r="C60" i="1"/>
  <c r="D70" i="1" s="1"/>
  <c r="E70" i="1" s="1"/>
  <c r="C57" i="1"/>
  <c r="D71" i="1" s="1"/>
  <c r="E71" i="1" s="1"/>
  <c r="D72" i="1"/>
  <c r="E72" i="1" s="1"/>
  <c r="F66" i="1"/>
  <c r="I66" i="1" s="1"/>
  <c r="Q78" i="1" l="1"/>
  <c r="O79" i="1" s="1"/>
  <c r="E78" i="1"/>
  <c r="C79" i="1" s="1"/>
  <c r="F70" i="1"/>
  <c r="I70" i="1" s="1"/>
  <c r="F68" i="1"/>
  <c r="I68" i="1" s="1"/>
  <c r="F67" i="1"/>
  <c r="I67" i="1" s="1"/>
  <c r="F69" i="1"/>
  <c r="I69" i="1" s="1"/>
  <c r="E84" i="1" l="1"/>
  <c r="C87" i="1"/>
  <c r="E85" i="1"/>
  <c r="F86" i="1"/>
  <c r="F85" i="1"/>
</calcChain>
</file>

<file path=xl/sharedStrings.xml><?xml version="1.0" encoding="utf-8"?>
<sst xmlns="http://schemas.openxmlformats.org/spreadsheetml/2006/main" count="164" uniqueCount="93">
  <si>
    <t>KURVA STANDAR TROLOX</t>
  </si>
  <si>
    <t>Konsentrasi (ppm)</t>
  </si>
  <si>
    <t xml:space="preserve">Absorbansi </t>
  </si>
  <si>
    <t xml:space="preserve">Absorbansi sampel = </t>
  </si>
  <si>
    <t>y</t>
  </si>
  <si>
    <t>=</t>
  </si>
  <si>
    <t xml:space="preserve">x </t>
  </si>
  <si>
    <t>+</t>
  </si>
  <si>
    <t>x</t>
  </si>
  <si>
    <t>ppm</t>
  </si>
  <si>
    <t>AA=(KTE x V x fp)/g</t>
  </si>
  <si>
    <t>AA=</t>
  </si>
  <si>
    <t>(63.7826087 x 0,15)/0,15</t>
  </si>
  <si>
    <t>mg TE</t>
  </si>
  <si>
    <t>perlakuan</t>
  </si>
  <si>
    <t>ulangan 1</t>
  </si>
  <si>
    <t>ulangan 2</t>
  </si>
  <si>
    <t>ulangan 3</t>
  </si>
  <si>
    <t xml:space="preserve">A1S1 </t>
  </si>
  <si>
    <t>A2S1</t>
  </si>
  <si>
    <t>A3S1</t>
  </si>
  <si>
    <t>A1S2</t>
  </si>
  <si>
    <t>A2S2</t>
  </si>
  <si>
    <t>A3S2</t>
  </si>
  <si>
    <t>A1S3</t>
  </si>
  <si>
    <t>A2S3</t>
  </si>
  <si>
    <t>A3S3</t>
  </si>
  <si>
    <t xml:space="preserve">Absorbansi sampel </t>
  </si>
  <si>
    <t xml:space="preserve">total </t>
  </si>
  <si>
    <t>rerata</t>
  </si>
  <si>
    <t>stdev</t>
  </si>
  <si>
    <t xml:space="preserve">rerata </t>
  </si>
  <si>
    <t>t</t>
  </si>
  <si>
    <t>n</t>
  </si>
  <si>
    <t>FK</t>
  </si>
  <si>
    <t>JKT</t>
  </si>
  <si>
    <t>JKK</t>
  </si>
  <si>
    <t>JKP</t>
  </si>
  <si>
    <t>JKG</t>
  </si>
  <si>
    <t>TABEL DUA ARAH</t>
  </si>
  <si>
    <t xml:space="preserve">Perlakuan </t>
  </si>
  <si>
    <t xml:space="preserve">A1 </t>
  </si>
  <si>
    <t>A2</t>
  </si>
  <si>
    <t>A3</t>
  </si>
  <si>
    <t xml:space="preserve">Total </t>
  </si>
  <si>
    <t>Rerata</t>
  </si>
  <si>
    <t>S1</t>
  </si>
  <si>
    <t>S2</t>
  </si>
  <si>
    <t>S3</t>
  </si>
  <si>
    <t>J.K.T</t>
  </si>
  <si>
    <t>J.K.M</t>
  </si>
  <si>
    <t>J.K. Ineraksi (T X M)</t>
  </si>
  <si>
    <t>TABEL ANOVA</t>
  </si>
  <si>
    <t>d.b.=DF</t>
  </si>
  <si>
    <t>J.K = Adj SS</t>
  </si>
  <si>
    <t>K.T = Adj MS</t>
  </si>
  <si>
    <t>F hitung = F</t>
  </si>
  <si>
    <t>SUMBER VARIASI</t>
  </si>
  <si>
    <t>d.b</t>
  </si>
  <si>
    <t>J.K.</t>
  </si>
  <si>
    <t>K.T.</t>
  </si>
  <si>
    <t>F hitung</t>
  </si>
  <si>
    <t>F tabel 5%</t>
  </si>
  <si>
    <t>F tabel 1%</t>
  </si>
  <si>
    <t>Notasi</t>
  </si>
  <si>
    <t>KELOMPOK</t>
  </si>
  <si>
    <t>PERLAKUAN</t>
  </si>
  <si>
    <t>GALAT</t>
  </si>
  <si>
    <t>TOTAL</t>
  </si>
  <si>
    <t>a</t>
  </si>
  <si>
    <t>b</t>
  </si>
  <si>
    <t>c</t>
  </si>
  <si>
    <t>ab</t>
  </si>
  <si>
    <t xml:space="preserve">Uji Lanjut </t>
  </si>
  <si>
    <t>BNJ (faktor A dan S)=</t>
  </si>
  <si>
    <t>Q(5%) (t;d.b.galat) x akar(KTG/n)</t>
  </si>
  <si>
    <t>Ket:</t>
  </si>
  <si>
    <t>BNJ (faktor x S)=</t>
  </si>
  <si>
    <t>Q(5%) (3;16) x akar (5.277/3*3)</t>
  </si>
  <si>
    <t>perlakuan = BNJ Tabel (3;16) dan akar KTG/9</t>
  </si>
  <si>
    <t>Q(5%) (3;16) x akar (5.277/3)</t>
  </si>
  <si>
    <t xml:space="preserve">Interaksi = BNJ Tabel (9;16) dan akar KTG/3 </t>
  </si>
  <si>
    <t>Uji Lanjut Faktor A</t>
  </si>
  <si>
    <t>Uji Lanjut Faktor S</t>
  </si>
  <si>
    <t>Uji Lanjut Faktor A X S</t>
  </si>
  <si>
    <t xml:space="preserve">notasi </t>
  </si>
  <si>
    <t xml:space="preserve">Rerata </t>
  </si>
  <si>
    <t xml:space="preserve">Notasi </t>
  </si>
  <si>
    <t>A1</t>
  </si>
  <si>
    <t xml:space="preserve">BNJ </t>
  </si>
  <si>
    <t>A</t>
  </si>
  <si>
    <t>S</t>
  </si>
  <si>
    <t>AXS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</si>
</sst>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color indexed="56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0" xfId="0" applyFont="1"/>
    <xf numFmtId="0" fontId="1" fillId="0" borderId="0" xfId="0" quotePrefix="1" applyFont="1"/>
    <xf numFmtId="0" fontId="1" fillId="2" borderId="0" xfId="0" applyFont="1" applyFill="1"/>
    <xf numFmtId="0" fontId="2" fillId="2" borderId="0" xfId="0" applyFont="1" applyFill="1"/>
    <xf numFmtId="164" fontId="2" fillId="0" borderId="0" xfId="0" applyNumberFormat="1" applyFont="1"/>
    <xf numFmtId="0" fontId="1" fillId="0" borderId="0" xfId="0" applyFont="1" applyFill="1"/>
    <xf numFmtId="0" fontId="1" fillId="0" borderId="0" xfId="0" quotePrefix="1" applyFont="1" applyFill="1"/>
    <xf numFmtId="0" fontId="1" fillId="0" borderId="0" xfId="0" applyFont="1" applyFill="1" applyBorder="1"/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0" fontId="5" fillId="0" borderId="1" xfId="0" applyNumberFormat="1" applyFont="1" applyFill="1" applyBorder="1" applyAlignment="1" applyProtection="1"/>
    <xf numFmtId="2" fontId="5" fillId="0" borderId="1" xfId="0" applyNumberFormat="1" applyFont="1" applyFill="1" applyBorder="1" applyAlignment="1" applyProtection="1"/>
    <xf numFmtId="0" fontId="0" fillId="0" borderId="1" xfId="0" applyBorder="1"/>
    <xf numFmtId="164" fontId="0" fillId="0" borderId="1" xfId="0" applyNumberFormat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1" fillId="0" borderId="0" xfId="0" applyNumberFormat="1" applyFont="1"/>
    <xf numFmtId="2" fontId="0" fillId="0" borderId="1" xfId="0" applyNumberFormat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3" borderId="1" xfId="0" applyFill="1" applyBorder="1"/>
    <xf numFmtId="0" fontId="3" fillId="0" borderId="0" xfId="0" applyFont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2" borderId="0" xfId="0" applyFill="1"/>
    <xf numFmtId="0" fontId="4" fillId="0" borderId="2" xfId="0" applyNumberFormat="1" applyFont="1" applyFill="1" applyBorder="1" applyAlignment="1" applyProtection="1">
      <alignment vertical="center" wrapText="1"/>
    </xf>
    <xf numFmtId="0" fontId="4" fillId="0" borderId="2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vertical="center" wrapText="1"/>
    </xf>
    <xf numFmtId="0" fontId="4" fillId="0" borderId="3" xfId="0" applyNumberFormat="1" applyFont="1" applyFill="1" applyBorder="1" applyAlignment="1" applyProtection="1">
      <alignment vertical="center" wrapText="1"/>
    </xf>
    <xf numFmtId="0" fontId="4" fillId="0" borderId="3" xfId="0" applyNumberFormat="1" applyFont="1" applyFill="1" applyBorder="1" applyAlignment="1" applyProtection="1">
      <alignment vertical="center"/>
    </xf>
    <xf numFmtId="2" fontId="0" fillId="0" borderId="0" xfId="0" applyNumberFormat="1"/>
    <xf numFmtId="2" fontId="0" fillId="0" borderId="1" xfId="0" applyNumberFormat="1" applyBorder="1"/>
    <xf numFmtId="2" fontId="0" fillId="0" borderId="0" xfId="0" applyNumberFormat="1" applyBorder="1"/>
    <xf numFmtId="0" fontId="1" fillId="0" borderId="1" xfId="0" applyFont="1" applyBorder="1"/>
    <xf numFmtId="0" fontId="0" fillId="2" borderId="4" xfId="0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d-ID"/>
              <a:t>Kurva Standar</a:t>
            </a:r>
            <a:r>
              <a:rPr lang="id-ID" baseline="0"/>
              <a:t> Trolox</a:t>
            </a:r>
            <a:endParaRPr lang="id-ID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0.37508814523184603"/>
                  <c:y val="-0.55704469233012543"/>
                </c:manualLayout>
              </c:layout>
              <c:numFmt formatCode="General" sourceLinked="0"/>
            </c:trendlineLbl>
          </c:trendline>
          <c:xVal>
            <c:numRef>
              <c:f>Sheet1!$B$5:$B$10</c:f>
              <c:numCache>
                <c:formatCode>General</c:formatCode>
                <c:ptCount val="6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</c:numCache>
            </c:numRef>
          </c:xVal>
          <c:yVal>
            <c:numRef>
              <c:f>Sheet1!$C$5:$C$10</c:f>
              <c:numCache>
                <c:formatCode>General</c:formatCode>
                <c:ptCount val="6"/>
                <c:pt idx="0">
                  <c:v>0.68100000000000005</c:v>
                </c:pt>
                <c:pt idx="1">
                  <c:v>0.66</c:v>
                </c:pt>
                <c:pt idx="2">
                  <c:v>0.64300000000000002</c:v>
                </c:pt>
                <c:pt idx="3">
                  <c:v>0.55300000000000005</c:v>
                </c:pt>
                <c:pt idx="4">
                  <c:v>0.45900000000000002</c:v>
                </c:pt>
                <c:pt idx="5">
                  <c:v>0.23400000000000001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380304"/>
        <c:axId val="721389552"/>
      </c:scatterChart>
      <c:valAx>
        <c:axId val="721380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d-ID"/>
                  <a:t>Konsentrasi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21389552"/>
        <c:crosses val="autoZero"/>
        <c:crossBetween val="midCat"/>
      </c:valAx>
      <c:valAx>
        <c:axId val="7213895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d-ID"/>
                  <a:t>Absorbansi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213803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590549</xdr:colOff>
      <xdr:row>1</xdr:row>
      <xdr:rowOff>42862</xdr:rowOff>
    </xdr:from>
    <xdr:to>
      <xdr:col>13</xdr:col>
      <xdr:colOff>66674</xdr:colOff>
      <xdr:row>14</xdr:row>
      <xdr:rowOff>185737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</xdr:row>
      <xdr:rowOff>0</xdr:rowOff>
    </xdr:from>
    <xdr:to>
      <xdr:col>23</xdr:col>
      <xdr:colOff>36831</xdr:colOff>
      <xdr:row>32</xdr:row>
      <xdr:rowOff>20107</xdr:rowOff>
    </xdr:to>
    <xdr:pic>
      <xdr:nvPicPr>
        <xdr:cNvPr id="4" name="Picture 3">
          <a:extLst>
            <a:ext uri="{FF2B5EF4-FFF2-40B4-BE49-F238E27FC236}">
              <a16:creationId xmlns="" xmlns:a16="http://schemas.microsoft.com/office/drawing/2014/main" id="{B5D76DB2-961F-4069-A031-C1F34DD66C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200025"/>
          <a:ext cx="5523231" cy="6220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92"/>
  <sheetViews>
    <sheetView tabSelected="1" topLeftCell="A62" zoomScale="90" zoomScaleNormal="90" workbookViewId="0">
      <selection activeCell="H42" sqref="H42"/>
    </sheetView>
  </sheetViews>
  <sheetFormatPr defaultColWidth="9.140625" defaultRowHeight="15.75" x14ac:dyDescent="0.25"/>
  <cols>
    <col min="1" max="1" width="9.140625" style="1"/>
    <col min="2" max="2" width="18.5703125" style="1" customWidth="1"/>
    <col min="3" max="3" width="11.5703125" style="1" customWidth="1"/>
    <col min="4" max="4" width="10.42578125" style="1" customWidth="1"/>
    <col min="5" max="5" width="9.5703125" style="1" customWidth="1"/>
    <col min="6" max="6" width="9.5703125" style="1" bestFit="1" customWidth="1"/>
    <col min="7" max="7" width="10.140625" style="1" customWidth="1"/>
    <col min="8" max="8" width="13.140625" style="1" customWidth="1"/>
    <col min="9" max="9" width="10.85546875" style="1" customWidth="1"/>
    <col min="10" max="10" width="10.7109375" style="1" customWidth="1"/>
    <col min="11" max="13" width="9.140625" style="1"/>
    <col min="14" max="14" width="16.85546875" style="1" customWidth="1"/>
    <col min="15" max="16384" width="9.140625" style="1"/>
  </cols>
  <sheetData>
    <row r="2" spans="2:3" x14ac:dyDescent="0.25">
      <c r="B2" s="49" t="s">
        <v>0</v>
      </c>
      <c r="C2" s="49"/>
    </row>
    <row r="4" spans="2:3" ht="15.75" customHeight="1" x14ac:dyDescent="0.25">
      <c r="B4" s="2" t="s">
        <v>1</v>
      </c>
      <c r="C4" s="2" t="s">
        <v>2</v>
      </c>
    </row>
    <row r="5" spans="2:3" x14ac:dyDescent="0.25">
      <c r="B5" s="3">
        <v>0</v>
      </c>
      <c r="C5" s="3">
        <v>0.68100000000000005</v>
      </c>
    </row>
    <row r="6" spans="2:3" x14ac:dyDescent="0.25">
      <c r="B6" s="3">
        <v>50</v>
      </c>
      <c r="C6" s="3">
        <v>0.66</v>
      </c>
    </row>
    <row r="7" spans="2:3" x14ac:dyDescent="0.25">
      <c r="B7" s="3">
        <v>100</v>
      </c>
      <c r="C7" s="3">
        <v>0.64300000000000002</v>
      </c>
    </row>
    <row r="8" spans="2:3" x14ac:dyDescent="0.25">
      <c r="B8" s="3">
        <v>150</v>
      </c>
      <c r="C8" s="3">
        <v>0.55300000000000005</v>
      </c>
    </row>
    <row r="9" spans="2:3" x14ac:dyDescent="0.25">
      <c r="B9" s="3">
        <v>200</v>
      </c>
      <c r="C9" s="3">
        <v>0.45900000000000002</v>
      </c>
    </row>
    <row r="10" spans="2:3" x14ac:dyDescent="0.25">
      <c r="B10" s="3">
        <v>250</v>
      </c>
      <c r="C10" s="3">
        <v>0.23400000000000001</v>
      </c>
    </row>
    <row r="15" spans="2:3" x14ac:dyDescent="0.25">
      <c r="C15" s="29"/>
    </row>
    <row r="17" spans="2:10" x14ac:dyDescent="0.25">
      <c r="G17" s="1" t="s">
        <v>27</v>
      </c>
    </row>
    <row r="18" spans="2:10" x14ac:dyDescent="0.25">
      <c r="B18" s="13" t="s">
        <v>14</v>
      </c>
      <c r="C18" s="13" t="s">
        <v>15</v>
      </c>
      <c r="D18" s="13" t="s">
        <v>16</v>
      </c>
      <c r="E18" s="13" t="s">
        <v>17</v>
      </c>
      <c r="G18" s="13" t="s">
        <v>14</v>
      </c>
      <c r="H18" s="13" t="s">
        <v>15</v>
      </c>
      <c r="I18" s="13" t="s">
        <v>16</v>
      </c>
      <c r="J18" s="13" t="s">
        <v>17</v>
      </c>
    </row>
    <row r="19" spans="2:10" x14ac:dyDescent="0.25">
      <c r="B19" s="13" t="s">
        <v>18</v>
      </c>
      <c r="C19" s="27">
        <v>0.60499999999999998</v>
      </c>
      <c r="D19" s="27">
        <v>0.60699999999999998</v>
      </c>
      <c r="E19" s="28">
        <v>0.60799999999999998</v>
      </c>
      <c r="F19" s="4"/>
      <c r="G19" s="13" t="s">
        <v>18</v>
      </c>
      <c r="H19" s="13">
        <v>83.823499999999996</v>
      </c>
      <c r="I19" s="13">
        <v>82.647059999999996</v>
      </c>
      <c r="J19" s="14">
        <v>82.058819999999997</v>
      </c>
    </row>
    <row r="20" spans="2:10" x14ac:dyDescent="0.25">
      <c r="B20" s="13" t="s">
        <v>19</v>
      </c>
      <c r="C20" s="27">
        <v>0.64800000000000002</v>
      </c>
      <c r="D20" s="27">
        <v>0.64700000000000002</v>
      </c>
      <c r="E20" s="27">
        <v>0.64700000000000002</v>
      </c>
      <c r="G20" s="13" t="s">
        <v>19</v>
      </c>
      <c r="H20" s="13">
        <v>58.529409999999999</v>
      </c>
      <c r="I20" s="13">
        <v>59.117649999999998</v>
      </c>
      <c r="J20" s="13">
        <v>59.117649999999998</v>
      </c>
    </row>
    <row r="21" spans="2:10" x14ac:dyDescent="0.25">
      <c r="B21" s="13" t="s">
        <v>20</v>
      </c>
      <c r="C21" s="27">
        <v>0.628</v>
      </c>
      <c r="D21" s="27">
        <v>0.627</v>
      </c>
      <c r="E21" s="27">
        <v>0.628</v>
      </c>
      <c r="G21" s="13" t="s">
        <v>20</v>
      </c>
      <c r="H21" s="13">
        <v>70.117649999999998</v>
      </c>
      <c r="I21" s="13">
        <v>70.882350000000002</v>
      </c>
      <c r="J21" s="13">
        <v>70.294120000000007</v>
      </c>
    </row>
    <row r="22" spans="2:10" x14ac:dyDescent="0.25">
      <c r="B22" s="13" t="s">
        <v>21</v>
      </c>
      <c r="C22" s="28">
        <v>0.61</v>
      </c>
      <c r="D22" s="27">
        <v>0.6</v>
      </c>
      <c r="E22" s="27">
        <v>0.59</v>
      </c>
      <c r="F22" s="9"/>
      <c r="G22" s="13" t="s">
        <v>21</v>
      </c>
      <c r="H22" s="14">
        <v>80.882350000000002</v>
      </c>
      <c r="I22" s="13">
        <v>86.764709999999994</v>
      </c>
      <c r="J22" s="13">
        <v>92.647059999999996</v>
      </c>
    </row>
    <row r="23" spans="2:10" x14ac:dyDescent="0.25">
      <c r="B23" s="13" t="s">
        <v>22</v>
      </c>
      <c r="C23" s="27">
        <v>0.57299999999999995</v>
      </c>
      <c r="D23" s="27">
        <v>0.60499999999999998</v>
      </c>
      <c r="E23" s="27">
        <v>0.57499999999999996</v>
      </c>
      <c r="F23" s="9"/>
      <c r="G23" s="13" t="s">
        <v>22</v>
      </c>
      <c r="H23" s="13">
        <v>102.64709999999999</v>
      </c>
      <c r="I23" s="13">
        <v>83.823530000000005</v>
      </c>
      <c r="J23" s="13">
        <v>101.4706</v>
      </c>
    </row>
    <row r="24" spans="2:10" x14ac:dyDescent="0.25">
      <c r="B24" s="13" t="s">
        <v>23</v>
      </c>
      <c r="C24" s="27">
        <v>0.56999999999999995</v>
      </c>
      <c r="D24" s="27">
        <v>0.54700000000000004</v>
      </c>
      <c r="E24" s="27">
        <v>0.55900000000000005</v>
      </c>
      <c r="F24" s="11"/>
      <c r="G24" s="13" t="s">
        <v>23</v>
      </c>
      <c r="H24" s="13">
        <v>104.4118</v>
      </c>
      <c r="I24" s="13">
        <v>117.94119999999999</v>
      </c>
      <c r="J24" s="13">
        <v>110.8824</v>
      </c>
    </row>
    <row r="25" spans="2:10" x14ac:dyDescent="0.25">
      <c r="B25" s="13" t="s">
        <v>24</v>
      </c>
      <c r="C25" s="27">
        <v>0.54</v>
      </c>
      <c r="D25" s="27">
        <v>0.54600000000000004</v>
      </c>
      <c r="E25" s="27">
        <v>0.54200000000000004</v>
      </c>
      <c r="F25" s="9"/>
      <c r="G25" s="13" t="s">
        <v>24</v>
      </c>
      <c r="H25" s="13">
        <v>122.05880000000001</v>
      </c>
      <c r="I25" s="13">
        <v>118.6294</v>
      </c>
      <c r="J25" s="13">
        <v>120.8824</v>
      </c>
    </row>
    <row r="26" spans="2:10" x14ac:dyDescent="0.25">
      <c r="B26" s="13" t="s">
        <v>25</v>
      </c>
      <c r="C26" s="27">
        <v>0.54800000000000004</v>
      </c>
      <c r="D26" s="27">
        <v>0.54700000000000004</v>
      </c>
      <c r="E26" s="27">
        <v>0.54700000000000004</v>
      </c>
      <c r="F26" s="10"/>
      <c r="G26" s="13" t="s">
        <v>25</v>
      </c>
      <c r="H26" s="13">
        <v>117.35290000000001</v>
      </c>
      <c r="I26" s="13">
        <v>117.94119999999999</v>
      </c>
      <c r="J26" s="13">
        <v>117.94119999999999</v>
      </c>
    </row>
    <row r="27" spans="2:10" x14ac:dyDescent="0.25">
      <c r="B27" s="13" t="s">
        <v>26</v>
      </c>
      <c r="C27" s="27">
        <v>0.55200000000000005</v>
      </c>
      <c r="D27" s="27">
        <v>0.54500000000000004</v>
      </c>
      <c r="E27" s="27">
        <v>0.54900000000000004</v>
      </c>
      <c r="G27" s="13" t="s">
        <v>26</v>
      </c>
      <c r="H27" s="13">
        <v>115</v>
      </c>
      <c r="I27" s="13">
        <v>119.1176</v>
      </c>
      <c r="J27" s="13">
        <v>116.7647</v>
      </c>
    </row>
    <row r="28" spans="2:10" x14ac:dyDescent="0.25">
      <c r="D28" s="12"/>
      <c r="E28" s="12"/>
    </row>
    <row r="30" spans="2:10" x14ac:dyDescent="0.25">
      <c r="B30" s="4" t="s">
        <v>3</v>
      </c>
      <c r="D30" s="8">
        <f>E24</f>
        <v>0.55900000000000005</v>
      </c>
    </row>
    <row r="31" spans="2:10" x14ac:dyDescent="0.25">
      <c r="B31" s="1" t="s">
        <v>4</v>
      </c>
      <c r="C31" s="5" t="s">
        <v>5</v>
      </c>
      <c r="D31" s="1">
        <v>-1.6999999999999999E-3</v>
      </c>
      <c r="E31" s="1" t="s">
        <v>6</v>
      </c>
      <c r="F31" s="5" t="s">
        <v>7</v>
      </c>
      <c r="G31" s="1">
        <v>0.74750000000000005</v>
      </c>
    </row>
    <row r="32" spans="2:10" x14ac:dyDescent="0.25">
      <c r="B32" s="1">
        <f>D30</f>
        <v>0.55900000000000005</v>
      </c>
      <c r="C32" s="5" t="s">
        <v>5</v>
      </c>
      <c r="D32" s="1">
        <f>D31</f>
        <v>-1.6999999999999999E-3</v>
      </c>
      <c r="E32" s="1" t="s">
        <v>6</v>
      </c>
      <c r="F32" s="5" t="s">
        <v>7</v>
      </c>
      <c r="G32" s="1">
        <f>G31</f>
        <v>0.74750000000000005</v>
      </c>
    </row>
    <row r="33" spans="2:11" x14ac:dyDescent="0.25">
      <c r="B33" s="1" t="s">
        <v>8</v>
      </c>
      <c r="C33" s="5" t="s">
        <v>5</v>
      </c>
      <c r="D33" s="4">
        <f>(B32-G32)/D31</f>
        <v>110.88235294117648</v>
      </c>
      <c r="E33" s="1" t="s">
        <v>9</v>
      </c>
    </row>
    <row r="35" spans="2:11" x14ac:dyDescent="0.25">
      <c r="B35" s="6" t="s">
        <v>10</v>
      </c>
      <c r="C35" s="6"/>
      <c r="D35" s="7"/>
    </row>
    <row r="36" spans="2:11" x14ac:dyDescent="0.25">
      <c r="B36" s="6" t="s">
        <v>11</v>
      </c>
      <c r="C36" s="6" t="s">
        <v>12</v>
      </c>
      <c r="D36" s="6"/>
    </row>
    <row r="37" spans="2:11" x14ac:dyDescent="0.25">
      <c r="B37" s="5" t="s">
        <v>5</v>
      </c>
      <c r="C37" s="7">
        <f>(D33*0.15)/0.15</f>
        <v>110.88235294117648</v>
      </c>
      <c r="D37" s="7" t="s">
        <v>13</v>
      </c>
    </row>
    <row r="39" spans="2:11" x14ac:dyDescent="0.25">
      <c r="B39" s="1" t="s">
        <v>27</v>
      </c>
    </row>
    <row r="40" spans="2:11" x14ac:dyDescent="0.25">
      <c r="B40" s="13" t="s">
        <v>14</v>
      </c>
      <c r="C40" s="13" t="s">
        <v>15</v>
      </c>
      <c r="D40" s="13" t="s">
        <v>16</v>
      </c>
      <c r="E40" s="13" t="s">
        <v>17</v>
      </c>
      <c r="F40" s="15" t="s">
        <v>28</v>
      </c>
      <c r="G40" s="15" t="s">
        <v>29</v>
      </c>
      <c r="H40" s="15" t="s">
        <v>30</v>
      </c>
      <c r="J40" s="32" t="s">
        <v>32</v>
      </c>
      <c r="K40" s="32">
        <v>9</v>
      </c>
    </row>
    <row r="41" spans="2:11" x14ac:dyDescent="0.25">
      <c r="B41" s="13" t="s">
        <v>18</v>
      </c>
      <c r="C41" s="30">
        <f t="shared" ref="C41:C49" si="0">H19</f>
        <v>83.823499999999996</v>
      </c>
      <c r="D41" s="30">
        <f t="shared" ref="D41:D49" si="1">I19</f>
        <v>82.647059999999996</v>
      </c>
      <c r="E41" s="31">
        <f t="shared" ref="E41:E49" si="2">J19</f>
        <v>82.058819999999997</v>
      </c>
      <c r="F41" s="16">
        <f>SUM(C41:E41)</f>
        <v>248.52937999999997</v>
      </c>
      <c r="G41" s="16">
        <f>AVERAGE(C41:E41)</f>
        <v>82.843126666666663</v>
      </c>
      <c r="H41" s="16">
        <f>_xlfn.STDEV.P(C41:E41)</f>
        <v>0.7336463630084693</v>
      </c>
      <c r="J41" s="32" t="s">
        <v>33</v>
      </c>
      <c r="K41" s="32">
        <v>3</v>
      </c>
    </row>
    <row r="42" spans="2:11" x14ac:dyDescent="0.25">
      <c r="B42" s="13" t="s">
        <v>19</v>
      </c>
      <c r="C42" s="30">
        <f t="shared" si="0"/>
        <v>58.529409999999999</v>
      </c>
      <c r="D42" s="30">
        <f t="shared" si="1"/>
        <v>59.117649999999998</v>
      </c>
      <c r="E42" s="30">
        <f t="shared" si="2"/>
        <v>59.117649999999998</v>
      </c>
      <c r="F42" s="16">
        <f t="shared" ref="F42:F49" si="3">SUM(C42:E42)</f>
        <v>176.76470999999998</v>
      </c>
      <c r="G42" s="16">
        <f t="shared" ref="G42:G49" si="4">AVERAGE(C42:E42)</f>
        <v>58.921569999999996</v>
      </c>
      <c r="H42" s="16">
        <f t="shared" ref="H42:H49" si="5">_xlfn.STDEV.P(C42:E42)</f>
        <v>0.27729899531011604</v>
      </c>
    </row>
    <row r="43" spans="2:11" x14ac:dyDescent="0.25">
      <c r="B43" s="13" t="s">
        <v>20</v>
      </c>
      <c r="C43" s="30">
        <f t="shared" si="0"/>
        <v>70.117649999999998</v>
      </c>
      <c r="D43" s="30">
        <f t="shared" si="1"/>
        <v>70.882350000000002</v>
      </c>
      <c r="E43" s="30">
        <f t="shared" si="2"/>
        <v>70.294120000000007</v>
      </c>
      <c r="F43" s="16">
        <f t="shared" si="3"/>
        <v>211.29412000000002</v>
      </c>
      <c r="G43" s="16">
        <f t="shared" si="4"/>
        <v>70.43137333333334</v>
      </c>
      <c r="H43" s="16">
        <f t="shared" si="5"/>
        <v>0.32692545596137995</v>
      </c>
    </row>
    <row r="44" spans="2:11" x14ac:dyDescent="0.25">
      <c r="B44" s="13" t="s">
        <v>21</v>
      </c>
      <c r="C44" s="31">
        <f t="shared" si="0"/>
        <v>80.882350000000002</v>
      </c>
      <c r="D44" s="30">
        <f t="shared" si="1"/>
        <v>86.764709999999994</v>
      </c>
      <c r="E44" s="30">
        <f t="shared" si="2"/>
        <v>92.647059999999996</v>
      </c>
      <c r="F44" s="16">
        <f t="shared" si="3"/>
        <v>260.29412000000002</v>
      </c>
      <c r="G44" s="16">
        <f t="shared" si="4"/>
        <v>86.764706666666669</v>
      </c>
      <c r="H44" s="16">
        <f t="shared" si="5"/>
        <v>4.8029227453036896</v>
      </c>
    </row>
    <row r="45" spans="2:11" x14ac:dyDescent="0.25">
      <c r="B45" s="13" t="s">
        <v>22</v>
      </c>
      <c r="C45" s="30">
        <f t="shared" si="0"/>
        <v>102.64709999999999</v>
      </c>
      <c r="D45" s="30">
        <f t="shared" si="1"/>
        <v>83.823530000000005</v>
      </c>
      <c r="E45" s="30">
        <f t="shared" si="2"/>
        <v>101.4706</v>
      </c>
      <c r="F45" s="16">
        <f t="shared" si="3"/>
        <v>287.94123000000002</v>
      </c>
      <c r="G45" s="16">
        <f>AVERAGE(C45:E45)</f>
        <v>95.980410000000006</v>
      </c>
      <c r="H45" s="16">
        <f t="shared" si="5"/>
        <v>8.6096200676259009</v>
      </c>
    </row>
    <row r="46" spans="2:11" x14ac:dyDescent="0.25">
      <c r="B46" s="13" t="s">
        <v>23</v>
      </c>
      <c r="C46" s="30">
        <f t="shared" si="0"/>
        <v>104.4118</v>
      </c>
      <c r="D46" s="30">
        <f t="shared" si="1"/>
        <v>117.94119999999999</v>
      </c>
      <c r="E46" s="30">
        <f t="shared" si="2"/>
        <v>110.8824</v>
      </c>
      <c r="F46" s="16">
        <f t="shared" si="3"/>
        <v>333.23540000000003</v>
      </c>
      <c r="G46" s="16">
        <f t="shared" si="4"/>
        <v>111.07846666666667</v>
      </c>
      <c r="H46" s="16">
        <f t="shared" si="5"/>
        <v>5.5250941285093838</v>
      </c>
    </row>
    <row r="47" spans="2:11" x14ac:dyDescent="0.25">
      <c r="B47" s="13" t="s">
        <v>24</v>
      </c>
      <c r="C47" s="30">
        <f t="shared" si="0"/>
        <v>122.05880000000001</v>
      </c>
      <c r="D47" s="30">
        <f t="shared" si="1"/>
        <v>118.6294</v>
      </c>
      <c r="E47" s="30">
        <f t="shared" si="2"/>
        <v>120.8824</v>
      </c>
      <c r="F47" s="16">
        <f t="shared" si="3"/>
        <v>361.57060000000001</v>
      </c>
      <c r="G47" s="16">
        <f t="shared" si="4"/>
        <v>120.52353333333333</v>
      </c>
      <c r="H47" s="16">
        <f t="shared" si="5"/>
        <v>1.4228574661184057</v>
      </c>
    </row>
    <row r="48" spans="2:11" x14ac:dyDescent="0.25">
      <c r="B48" s="13" t="s">
        <v>25</v>
      </c>
      <c r="C48" s="30">
        <f t="shared" si="0"/>
        <v>117.35290000000001</v>
      </c>
      <c r="D48" s="30">
        <f t="shared" si="1"/>
        <v>117.94119999999999</v>
      </c>
      <c r="E48" s="30">
        <f t="shared" si="2"/>
        <v>117.94119999999999</v>
      </c>
      <c r="F48" s="16">
        <f t="shared" si="3"/>
        <v>353.2353</v>
      </c>
      <c r="G48" s="16">
        <f t="shared" si="4"/>
        <v>117.74509999999999</v>
      </c>
      <c r="H48" s="16">
        <f t="shared" si="5"/>
        <v>0.277327279581359</v>
      </c>
    </row>
    <row r="49" spans="2:11" x14ac:dyDescent="0.25">
      <c r="B49" s="13" t="s">
        <v>26</v>
      </c>
      <c r="C49" s="30">
        <f t="shared" si="0"/>
        <v>115</v>
      </c>
      <c r="D49" s="30">
        <f t="shared" si="1"/>
        <v>119.1176</v>
      </c>
      <c r="E49" s="30">
        <f t="shared" si="2"/>
        <v>116.7647</v>
      </c>
      <c r="F49" s="16">
        <f t="shared" si="3"/>
        <v>350.88229999999999</v>
      </c>
      <c r="G49" s="16">
        <f t="shared" si="4"/>
        <v>116.96076666666666</v>
      </c>
      <c r="H49" s="16">
        <f t="shared" si="5"/>
        <v>1.6867106140519628</v>
      </c>
    </row>
    <row r="50" spans="2:11" x14ac:dyDescent="0.25">
      <c r="B50" s="15" t="s">
        <v>28</v>
      </c>
      <c r="C50" s="16">
        <f>SUM(C41:C49)</f>
        <v>854.82350999999994</v>
      </c>
      <c r="D50" s="16">
        <f t="shared" ref="D50:F50" si="6">SUM(D41:D49)</f>
        <v>856.86469999999997</v>
      </c>
      <c r="E50" s="16">
        <f t="shared" si="6"/>
        <v>872.05894999999987</v>
      </c>
      <c r="F50" s="16">
        <f t="shared" si="6"/>
        <v>2583.7471599999999</v>
      </c>
      <c r="G50" s="16"/>
      <c r="H50" s="16"/>
    </row>
    <row r="51" spans="2:11" x14ac:dyDescent="0.25">
      <c r="B51" s="15" t="s">
        <v>31</v>
      </c>
      <c r="C51" s="16">
        <f>AVERAGE(C41:C49)</f>
        <v>94.98039</v>
      </c>
      <c r="D51" s="16">
        <f t="shared" ref="D51:E51" si="7">AVERAGE(D41:D49)</f>
        <v>95.207188888888879</v>
      </c>
      <c r="E51" s="16">
        <f t="shared" si="7"/>
        <v>96.895438888888876</v>
      </c>
      <c r="F51" s="16"/>
      <c r="G51" s="16"/>
      <c r="H51" s="16"/>
    </row>
    <row r="53" spans="2:11" x14ac:dyDescent="0.25">
      <c r="B53" s="33" t="s">
        <v>34</v>
      </c>
      <c r="C53" s="38">
        <f>(F50^2)/(K40*K41)</f>
        <v>247249.97728918758</v>
      </c>
      <c r="D53"/>
      <c r="E53"/>
      <c r="F53" s="50" t="s">
        <v>39</v>
      </c>
      <c r="G53" s="50"/>
      <c r="H53" s="50"/>
      <c r="I53" s="50"/>
      <c r="J53" s="50"/>
      <c r="K53" s="50"/>
    </row>
    <row r="54" spans="2:11" x14ac:dyDescent="0.25">
      <c r="B54" s="33" t="s">
        <v>35</v>
      </c>
      <c r="C54">
        <f>SUMSQ(C41:E49)-C53</f>
        <v>12481.421438232035</v>
      </c>
      <c r="D54"/>
      <c r="E54"/>
      <c r="F54" s="17" t="s">
        <v>40</v>
      </c>
      <c r="G54" s="17" t="s">
        <v>41</v>
      </c>
      <c r="H54" s="17" t="s">
        <v>42</v>
      </c>
      <c r="I54" s="17" t="s">
        <v>43</v>
      </c>
      <c r="J54" s="18" t="s">
        <v>44</v>
      </c>
      <c r="K54" s="18" t="s">
        <v>45</v>
      </c>
    </row>
    <row r="55" spans="2:11" x14ac:dyDescent="0.25">
      <c r="B55" s="33" t="s">
        <v>36</v>
      </c>
      <c r="C55">
        <f>(((C50^2)+(D50^2)+(E50^2))/9)-C53</f>
        <v>19.707114135992015</v>
      </c>
      <c r="D55"/>
      <c r="E55"/>
      <c r="F55" s="17" t="s">
        <v>46</v>
      </c>
      <c r="G55" s="34">
        <f>F41</f>
        <v>248.52937999999997</v>
      </c>
      <c r="H55" s="34">
        <f>F42</f>
        <v>176.76470999999998</v>
      </c>
      <c r="I55" s="34">
        <f>F43</f>
        <v>211.29412000000002</v>
      </c>
      <c r="J55" s="35">
        <f>SUM(G55:I55)</f>
        <v>636.58821</v>
      </c>
      <c r="K55" s="36">
        <f>AVERAGE(G55:I55)</f>
        <v>212.19606999999999</v>
      </c>
    </row>
    <row r="56" spans="2:11" x14ac:dyDescent="0.25">
      <c r="B56" s="33" t="s">
        <v>37</v>
      </c>
      <c r="C56">
        <f>(SUMSQ(F41:F49)/3)-C53</f>
        <v>12081.255253655836</v>
      </c>
      <c r="D56"/>
      <c r="E56"/>
      <c r="F56" s="17" t="s">
        <v>47</v>
      </c>
      <c r="G56" s="34">
        <f>F44</f>
        <v>260.29412000000002</v>
      </c>
      <c r="H56" s="34">
        <f>F45</f>
        <v>287.94123000000002</v>
      </c>
      <c r="I56" s="34">
        <f>F46</f>
        <v>333.23540000000003</v>
      </c>
      <c r="J56" s="35">
        <f t="shared" ref="J56:J58" si="8">SUM(G56:I56)</f>
        <v>881.47075000000007</v>
      </c>
      <c r="K56" s="36">
        <f t="shared" ref="K56:K57" si="9">AVERAGE(G56:I56)</f>
        <v>293.82358333333337</v>
      </c>
    </row>
    <row r="57" spans="2:11" x14ac:dyDescent="0.25">
      <c r="B57" s="33" t="s">
        <v>38</v>
      </c>
      <c r="C57">
        <f>C54-C55-C56</f>
        <v>380.45907044020714</v>
      </c>
      <c r="D57"/>
      <c r="E57"/>
      <c r="F57" s="17" t="s">
        <v>48</v>
      </c>
      <c r="G57" s="34">
        <f>F47</f>
        <v>361.57060000000001</v>
      </c>
      <c r="H57" s="34">
        <f>F48</f>
        <v>353.2353</v>
      </c>
      <c r="I57" s="34">
        <f>F49</f>
        <v>350.88229999999999</v>
      </c>
      <c r="J57" s="35">
        <f t="shared" si="8"/>
        <v>1065.6882000000001</v>
      </c>
      <c r="K57" s="36">
        <f t="shared" si="9"/>
        <v>355.2294</v>
      </c>
    </row>
    <row r="58" spans="2:11" x14ac:dyDescent="0.25">
      <c r="B58" s="19" t="s">
        <v>49</v>
      </c>
      <c r="C58">
        <f>(((J55^2)+(J56^2)+(J57^2))/9)-C53</f>
        <v>10297.419581457594</v>
      </c>
      <c r="D58"/>
      <c r="E58"/>
      <c r="F58" s="18" t="s">
        <v>44</v>
      </c>
      <c r="G58" s="35">
        <f>SUM(G55:G57)</f>
        <v>870.39409999999998</v>
      </c>
      <c r="H58" s="35">
        <f t="shared" ref="H58:I58" si="10">SUM(H55:H57)</f>
        <v>817.94123999999999</v>
      </c>
      <c r="I58" s="35">
        <f t="shared" si="10"/>
        <v>895.41182000000003</v>
      </c>
      <c r="J58" s="37">
        <f t="shared" si="8"/>
        <v>2583.7471599999999</v>
      </c>
      <c r="K58" s="34"/>
    </row>
    <row r="59" spans="2:11" x14ac:dyDescent="0.25">
      <c r="B59" s="19" t="s">
        <v>50</v>
      </c>
      <c r="C59">
        <f>(((G58^2)+(H58^2)+(I58^2))/9)-C53</f>
        <v>347.36591117465287</v>
      </c>
      <c r="F59" s="18" t="s">
        <v>45</v>
      </c>
      <c r="G59" s="36">
        <f>AVERAGE(G55:G57)</f>
        <v>290.13136666666668</v>
      </c>
      <c r="H59" s="36">
        <f t="shared" ref="H59:I59" si="11">AVERAGE(H55:H57)</f>
        <v>272.64708000000002</v>
      </c>
      <c r="I59" s="36">
        <f t="shared" si="11"/>
        <v>298.4706066666667</v>
      </c>
      <c r="J59" s="34"/>
      <c r="K59" s="34"/>
    </row>
    <row r="60" spans="2:11" x14ac:dyDescent="0.25">
      <c r="B60" s="19" t="s">
        <v>51</v>
      </c>
      <c r="C60">
        <f>C56-C58-C59</f>
        <v>1436.4697610235889</v>
      </c>
      <c r="H60" s="19"/>
      <c r="I60"/>
    </row>
    <row r="63" spans="2:11" x14ac:dyDescent="0.25">
      <c r="B63" s="20" t="s">
        <v>52</v>
      </c>
      <c r="C63" s="21"/>
      <c r="D63" s="22" t="s">
        <v>53</v>
      </c>
      <c r="E63" s="22" t="s">
        <v>54</v>
      </c>
      <c r="F63" s="22" t="s">
        <v>55</v>
      </c>
      <c r="G63" s="22" t="s">
        <v>56</v>
      </c>
      <c r="H63" s="22"/>
      <c r="I63" s="23"/>
    </row>
    <row r="64" spans="2:11" ht="30" x14ac:dyDescent="0.25">
      <c r="B64" s="39" t="s">
        <v>57</v>
      </c>
      <c r="C64" s="40" t="s">
        <v>58</v>
      </c>
      <c r="D64" s="40" t="s">
        <v>59</v>
      </c>
      <c r="E64" s="40" t="s">
        <v>60</v>
      </c>
      <c r="F64" s="40" t="s">
        <v>61</v>
      </c>
      <c r="G64" s="39" t="s">
        <v>62</v>
      </c>
      <c r="H64" s="41" t="s">
        <v>63</v>
      </c>
      <c r="I64" s="40" t="s">
        <v>64</v>
      </c>
    </row>
    <row r="65" spans="2:18" x14ac:dyDescent="0.25">
      <c r="B65" s="42"/>
      <c r="C65" s="43"/>
      <c r="D65" s="43"/>
      <c r="E65" s="43"/>
      <c r="F65" s="43"/>
      <c r="G65" s="42"/>
      <c r="H65" s="41"/>
      <c r="I65" s="43"/>
    </row>
    <row r="66" spans="2:18" x14ac:dyDescent="0.25">
      <c r="B66" s="24" t="s">
        <v>65</v>
      </c>
      <c r="C66" s="24">
        <f>3-1</f>
        <v>2</v>
      </c>
      <c r="D66" s="25">
        <f>C55</f>
        <v>19.707114135992015</v>
      </c>
      <c r="E66" s="25">
        <f t="shared" ref="E66:E72" si="12">D66/C66</f>
        <v>9.8535570679960074</v>
      </c>
      <c r="F66" s="25">
        <f>E66/E71</f>
        <v>0.4143860019042796</v>
      </c>
      <c r="G66" s="25">
        <f>FINV(0.05,C66,C71)</f>
        <v>3.6337234675916301</v>
      </c>
      <c r="H66" s="25">
        <f>FINV(0.01,C66,C71)</f>
        <v>6.2262352803113821</v>
      </c>
      <c r="I66" s="24" t="str">
        <f>IF(F66&lt;G66,"tn",IF(F66&lt;H66,"*","**"))</f>
        <v>tn</v>
      </c>
    </row>
    <row r="67" spans="2:18" x14ac:dyDescent="0.25">
      <c r="B67" s="24" t="s">
        <v>66</v>
      </c>
      <c r="C67" s="24">
        <f>9-1</f>
        <v>8</v>
      </c>
      <c r="D67" s="25">
        <f>C56</f>
        <v>12081.255253655836</v>
      </c>
      <c r="E67" s="25">
        <f t="shared" si="12"/>
        <v>1510.1569067069795</v>
      </c>
      <c r="F67" s="25">
        <f>E67/E71</f>
        <v>63.508830212287045</v>
      </c>
      <c r="G67" s="25">
        <f>FINV(0.05,C67,C71)</f>
        <v>2.5910961798744014</v>
      </c>
      <c r="H67" s="25">
        <f>FINV(0.01,C67,C71)</f>
        <v>3.8895721399261927</v>
      </c>
      <c r="I67" s="24" t="str">
        <f>IF(F67&lt;G67,"tn",IF(F67&lt;H67,"*","**"))</f>
        <v>**</v>
      </c>
    </row>
    <row r="68" spans="2:18" x14ac:dyDescent="0.25">
      <c r="B68" s="24" t="s">
        <v>90</v>
      </c>
      <c r="C68" s="24">
        <v>2</v>
      </c>
      <c r="D68" s="25">
        <f>C58</f>
        <v>10297.419581457594</v>
      </c>
      <c r="E68" s="25">
        <f t="shared" si="12"/>
        <v>5148.7097907287971</v>
      </c>
      <c r="F68" s="25">
        <f>E68/E71</f>
        <v>216.52619966805989</v>
      </c>
      <c r="G68" s="25">
        <f>FINV(0.05,C68,C71)</f>
        <v>3.6337234675916301</v>
      </c>
      <c r="H68" s="25">
        <f>FINV(0.01,C68,C71)</f>
        <v>6.2262352803113821</v>
      </c>
      <c r="I68" s="24" t="str">
        <f t="shared" ref="I68:I69" si="13">IF(F68&lt;G68,"tn",IF(F68&lt;H68,"*","**"))</f>
        <v>**</v>
      </c>
    </row>
    <row r="69" spans="2:18" x14ac:dyDescent="0.25">
      <c r="B69" s="24" t="s">
        <v>91</v>
      </c>
      <c r="C69" s="24">
        <v>2</v>
      </c>
      <c r="D69" s="25">
        <f>C59</f>
        <v>347.36591117465287</v>
      </c>
      <c r="E69" s="25">
        <f t="shared" si="12"/>
        <v>173.68295558732643</v>
      </c>
      <c r="F69" s="25">
        <f>E69/E71</f>
        <v>7.3041425617265139</v>
      </c>
      <c r="G69" s="25">
        <f>FINV(0.05,C69,C71)</f>
        <v>3.6337234675916301</v>
      </c>
      <c r="H69" s="25">
        <f>FINV(0.01,C69,C71)</f>
        <v>6.2262352803113821</v>
      </c>
      <c r="I69" s="24" t="str">
        <f t="shared" si="13"/>
        <v>**</v>
      </c>
    </row>
    <row r="70" spans="2:18" x14ac:dyDescent="0.25">
      <c r="B70" s="24" t="s">
        <v>92</v>
      </c>
      <c r="C70" s="24">
        <f>C68*C69</f>
        <v>4</v>
      </c>
      <c r="D70" s="25">
        <f>C60</f>
        <v>1436.4697610235889</v>
      </c>
      <c r="E70" s="25">
        <f t="shared" si="12"/>
        <v>359.11744025589724</v>
      </c>
      <c r="F70" s="25">
        <f>E70/E71</f>
        <v>15.102489309680887</v>
      </c>
      <c r="G70" s="25">
        <f>FINV(0.05,C70,C71)</f>
        <v>3.0069172799243447</v>
      </c>
      <c r="H70" s="25">
        <f>FINV(0.01,C70,C71)</f>
        <v>4.772577999723211</v>
      </c>
      <c r="I70" s="24" t="str">
        <f>IF(F70&lt;G70,"tn",IF(F70&lt;H70,"*","**"))</f>
        <v>**</v>
      </c>
    </row>
    <row r="71" spans="2:18" x14ac:dyDescent="0.25">
      <c r="B71" s="24" t="s">
        <v>67</v>
      </c>
      <c r="C71" s="24">
        <f>(3-1)*(9-1)</f>
        <v>16</v>
      </c>
      <c r="D71" s="25">
        <f>C57</f>
        <v>380.45907044020714</v>
      </c>
      <c r="E71" s="25">
        <f t="shared" si="12"/>
        <v>23.778691902512946</v>
      </c>
      <c r="F71" s="25"/>
      <c r="G71" s="25"/>
      <c r="H71" s="25"/>
      <c r="I71" s="24"/>
    </row>
    <row r="72" spans="2:18" x14ac:dyDescent="0.25">
      <c r="B72" s="24" t="s">
        <v>68</v>
      </c>
      <c r="C72" s="24">
        <f>C66+C67+C71</f>
        <v>26</v>
      </c>
      <c r="D72" s="25">
        <f>C54</f>
        <v>12481.421438232035</v>
      </c>
      <c r="E72" s="25">
        <f t="shared" si="12"/>
        <v>480.05467070123211</v>
      </c>
      <c r="F72" s="25"/>
      <c r="G72" s="25"/>
      <c r="H72" s="25"/>
      <c r="I72" s="24"/>
    </row>
    <row r="73" spans="2:18" ht="15.75" customHeight="1" x14ac:dyDescent="0.25"/>
    <row r="75" spans="2:18" x14ac:dyDescent="0.25">
      <c r="B75" t="s">
        <v>73</v>
      </c>
      <c r="C75"/>
      <c r="D75"/>
      <c r="E75"/>
      <c r="F75"/>
      <c r="G75"/>
      <c r="H75"/>
      <c r="I75"/>
      <c r="J75"/>
      <c r="K75"/>
      <c r="L75"/>
      <c r="M75"/>
      <c r="N75" t="s">
        <v>73</v>
      </c>
      <c r="O75"/>
      <c r="P75"/>
      <c r="Q75"/>
      <c r="R75"/>
    </row>
    <row r="76" spans="2:18" x14ac:dyDescent="0.25">
      <c r="B76" t="s">
        <v>74</v>
      </c>
      <c r="C76" t="s">
        <v>75</v>
      </c>
      <c r="D76"/>
      <c r="E76"/>
      <c r="F76"/>
      <c r="G76"/>
      <c r="H76" t="s">
        <v>76</v>
      </c>
      <c r="I76"/>
      <c r="J76"/>
      <c r="K76"/>
      <c r="L76"/>
      <c r="M76"/>
      <c r="N76" t="s">
        <v>77</v>
      </c>
      <c r="O76" t="s">
        <v>75</v>
      </c>
      <c r="P76"/>
      <c r="Q76"/>
      <c r="R76"/>
    </row>
    <row r="77" spans="2:18" x14ac:dyDescent="0.25">
      <c r="B77"/>
      <c r="C77" t="s">
        <v>78</v>
      </c>
      <c r="D77"/>
      <c r="E77"/>
      <c r="F77"/>
      <c r="G77"/>
      <c r="H77" t="s">
        <v>79</v>
      </c>
      <c r="I77"/>
      <c r="J77"/>
      <c r="K77"/>
      <c r="L77"/>
      <c r="M77"/>
      <c r="N77"/>
      <c r="O77" t="s">
        <v>80</v>
      </c>
      <c r="P77"/>
      <c r="Q77"/>
      <c r="R77"/>
    </row>
    <row r="78" spans="2:18" x14ac:dyDescent="0.25">
      <c r="B78"/>
      <c r="C78">
        <v>3.65</v>
      </c>
      <c r="D78" t="s">
        <v>8</v>
      </c>
      <c r="E78">
        <f>SQRT(E71/9)</f>
        <v>1.6254466703208057</v>
      </c>
      <c r="F78"/>
      <c r="G78"/>
      <c r="H78" t="s">
        <v>81</v>
      </c>
      <c r="I78"/>
      <c r="J78"/>
      <c r="K78"/>
      <c r="L78"/>
      <c r="M78"/>
      <c r="N78"/>
      <c r="O78">
        <v>5.03</v>
      </c>
      <c r="P78" t="s">
        <v>8</v>
      </c>
      <c r="Q78">
        <f>SQRT(E71/3)</f>
        <v>2.8153562179892941</v>
      </c>
      <c r="R78"/>
    </row>
    <row r="79" spans="2:18" x14ac:dyDescent="0.25">
      <c r="B79"/>
      <c r="C79" s="44">
        <f>C78*E78</f>
        <v>5.9328803466709408</v>
      </c>
      <c r="D79"/>
      <c r="E79"/>
      <c r="F79"/>
      <c r="G79"/>
      <c r="H79"/>
      <c r="I79"/>
      <c r="J79"/>
      <c r="K79"/>
      <c r="L79"/>
      <c r="M79"/>
      <c r="N79"/>
      <c r="O79" s="44">
        <f>O78*Q78</f>
        <v>14.16124177648615</v>
      </c>
      <c r="P79"/>
      <c r="Q79"/>
      <c r="R79"/>
    </row>
    <row r="80" spans="2:18" x14ac:dyDescent="0.25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</row>
    <row r="81" spans="2:18" x14ac:dyDescent="0.25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</row>
    <row r="82" spans="2:18" x14ac:dyDescent="0.25">
      <c r="B82" s="48" t="s">
        <v>82</v>
      </c>
      <c r="C82" s="48"/>
      <c r="D82" s="48"/>
      <c r="E82"/>
      <c r="F82"/>
      <c r="G82"/>
      <c r="H82" s="48" t="s">
        <v>83</v>
      </c>
      <c r="I82" s="48"/>
      <c r="J82" s="48"/>
      <c r="K82"/>
      <c r="L82"/>
      <c r="M82"/>
      <c r="N82" s="48" t="s">
        <v>84</v>
      </c>
      <c r="O82" s="48"/>
      <c r="P82" s="48"/>
      <c r="Q82"/>
      <c r="R82"/>
    </row>
    <row r="83" spans="2:18" x14ac:dyDescent="0.25">
      <c r="B83" s="26" t="s">
        <v>40</v>
      </c>
      <c r="C83" s="26" t="s">
        <v>31</v>
      </c>
      <c r="D83" s="26" t="s">
        <v>85</v>
      </c>
      <c r="E83" s="12"/>
      <c r="F83" s="12"/>
      <c r="G83"/>
      <c r="H83" s="26" t="s">
        <v>40</v>
      </c>
      <c r="I83" s="26" t="s">
        <v>31</v>
      </c>
      <c r="J83" s="26" t="s">
        <v>85</v>
      </c>
      <c r="K83" s="12"/>
      <c r="L83" s="12"/>
      <c r="M83"/>
      <c r="N83" s="13" t="s">
        <v>40</v>
      </c>
      <c r="O83" s="13" t="s">
        <v>86</v>
      </c>
      <c r="P83" s="13" t="s">
        <v>87</v>
      </c>
      <c r="Q83"/>
      <c r="R83"/>
    </row>
    <row r="84" spans="2:18" x14ac:dyDescent="0.25">
      <c r="B84" s="26" t="s">
        <v>88</v>
      </c>
      <c r="C84" s="45">
        <v>212.19606999999999</v>
      </c>
      <c r="D84" s="26" t="s">
        <v>69</v>
      </c>
      <c r="E84" s="46">
        <f>C84+C79</f>
        <v>218.12895034667093</v>
      </c>
      <c r="F84" s="12"/>
      <c r="G84"/>
      <c r="H84" s="26" t="s">
        <v>88</v>
      </c>
      <c r="I84" s="45">
        <v>212.19606999999999</v>
      </c>
      <c r="J84" s="26" t="s">
        <v>69</v>
      </c>
      <c r="K84" s="46">
        <f>I84+I79</f>
        <v>212.19606999999999</v>
      </c>
      <c r="L84" s="12"/>
      <c r="M84"/>
      <c r="N84" s="13" t="s">
        <v>19</v>
      </c>
      <c r="O84" s="45">
        <v>58.921569999999996</v>
      </c>
      <c r="P84" s="47" t="s">
        <v>69</v>
      </c>
      <c r="Q84" s="44">
        <f>O84+O79</f>
        <v>73.082811776486153</v>
      </c>
      <c r="R84" s="44"/>
    </row>
    <row r="85" spans="2:18" x14ac:dyDescent="0.25">
      <c r="B85" s="26" t="s">
        <v>42</v>
      </c>
      <c r="C85" s="45">
        <v>293.82358333333337</v>
      </c>
      <c r="D85" s="26" t="s">
        <v>70</v>
      </c>
      <c r="E85" s="12">
        <f>C85+C79</f>
        <v>299.75646368000429</v>
      </c>
      <c r="F85" s="12">
        <f>C85-C79</f>
        <v>287.89070298666246</v>
      </c>
      <c r="G85"/>
      <c r="H85" s="26" t="s">
        <v>42</v>
      </c>
      <c r="I85" s="45">
        <v>293.82358333333337</v>
      </c>
      <c r="J85" s="26" t="s">
        <v>70</v>
      </c>
      <c r="K85" s="12">
        <f>I85+I79</f>
        <v>293.82358333333337</v>
      </c>
      <c r="L85" s="12">
        <f>I85-I79</f>
        <v>293.82358333333337</v>
      </c>
      <c r="M85"/>
      <c r="N85" s="13" t="s">
        <v>20</v>
      </c>
      <c r="O85" s="45">
        <v>70.43137333333334</v>
      </c>
      <c r="P85" s="47" t="s">
        <v>72</v>
      </c>
      <c r="Q85" s="44"/>
      <c r="R85" s="44"/>
    </row>
    <row r="86" spans="2:18" x14ac:dyDescent="0.25">
      <c r="B86" s="26" t="s">
        <v>43</v>
      </c>
      <c r="C86" s="45">
        <v>355.2294</v>
      </c>
      <c r="D86" s="26" t="s">
        <v>71</v>
      </c>
      <c r="E86" s="12"/>
      <c r="F86" s="12">
        <f>C86-C79</f>
        <v>349.29651965332909</v>
      </c>
      <c r="G86"/>
      <c r="H86" s="26" t="s">
        <v>43</v>
      </c>
      <c r="I86" s="45">
        <v>355.2294</v>
      </c>
      <c r="J86" s="26" t="s">
        <v>71</v>
      </c>
      <c r="K86" s="12"/>
      <c r="L86" s="12">
        <f>I86-I79</f>
        <v>355.2294</v>
      </c>
      <c r="M86"/>
      <c r="N86" s="13" t="s">
        <v>18</v>
      </c>
      <c r="O86" s="45">
        <v>82.843126666666663</v>
      </c>
      <c r="P86" s="47" t="s">
        <v>70</v>
      </c>
      <c r="Q86" s="44">
        <f>O86+O79</f>
        <v>97.004368443152813</v>
      </c>
      <c r="R86" s="44">
        <f>O86-O79</f>
        <v>68.681884890180513</v>
      </c>
    </row>
    <row r="87" spans="2:18" x14ac:dyDescent="0.25">
      <c r="B87" s="12" t="s">
        <v>89</v>
      </c>
      <c r="C87" s="46">
        <f>C79</f>
        <v>5.9328803466709408</v>
      </c>
      <c r="D87" s="12"/>
      <c r="E87"/>
      <c r="F87"/>
      <c r="G87"/>
      <c r="H87" s="12" t="s">
        <v>89</v>
      </c>
      <c r="I87" s="46">
        <f>I79</f>
        <v>0</v>
      </c>
      <c r="J87" s="12"/>
      <c r="K87"/>
      <c r="L87"/>
      <c r="M87"/>
      <c r="N87" s="13" t="s">
        <v>21</v>
      </c>
      <c r="O87" s="45">
        <v>86.764706666666669</v>
      </c>
      <c r="P87" s="47" t="s">
        <v>70</v>
      </c>
      <c r="Q87" s="44"/>
      <c r="R87" s="44"/>
    </row>
    <row r="88" spans="2:18" x14ac:dyDescent="0.25">
      <c r="B88"/>
      <c r="C88"/>
      <c r="D88"/>
      <c r="E88"/>
      <c r="F88"/>
      <c r="G88"/>
      <c r="M88"/>
      <c r="N88" s="13" t="s">
        <v>22</v>
      </c>
      <c r="O88" s="45">
        <v>95.980410000000006</v>
      </c>
      <c r="P88" s="47" t="s">
        <v>70</v>
      </c>
      <c r="Q88" s="44"/>
      <c r="R88" s="44"/>
    </row>
    <row r="89" spans="2:18" x14ac:dyDescent="0.25">
      <c r="B89"/>
      <c r="C89"/>
      <c r="D89"/>
      <c r="E89"/>
      <c r="F89"/>
      <c r="G89"/>
      <c r="M89"/>
      <c r="N89" s="13" t="s">
        <v>23</v>
      </c>
      <c r="O89" s="45">
        <v>111.07846666666667</v>
      </c>
      <c r="P89" s="47" t="s">
        <v>71</v>
      </c>
      <c r="Q89" s="44">
        <f>O89+O79</f>
        <v>125.23970844315282</v>
      </c>
      <c r="R89" s="44">
        <f>O89-O79</f>
        <v>96.91722489018052</v>
      </c>
    </row>
    <row r="90" spans="2:18" x14ac:dyDescent="0.25">
      <c r="B90"/>
      <c r="C90"/>
      <c r="D90"/>
      <c r="E90"/>
      <c r="F90"/>
      <c r="G90"/>
      <c r="M90"/>
      <c r="N90" s="13" t="s">
        <v>26</v>
      </c>
      <c r="O90" s="45">
        <v>116.96076666666666</v>
      </c>
      <c r="P90" s="47" t="s">
        <v>71</v>
      </c>
      <c r="Q90" s="44"/>
      <c r="R90" s="44"/>
    </row>
    <row r="91" spans="2:18" x14ac:dyDescent="0.25">
      <c r="B91"/>
      <c r="C91"/>
      <c r="D91"/>
      <c r="E91"/>
      <c r="F91"/>
      <c r="G91"/>
      <c r="M91"/>
      <c r="N91" s="13" t="s">
        <v>25</v>
      </c>
      <c r="O91" s="45">
        <v>117.74509999999999</v>
      </c>
      <c r="P91" s="47" t="s">
        <v>71</v>
      </c>
      <c r="Q91" s="44"/>
      <c r="R91" s="44"/>
    </row>
    <row r="92" spans="2:18" x14ac:dyDescent="0.25">
      <c r="B92"/>
      <c r="C92"/>
      <c r="D92"/>
      <c r="E92"/>
      <c r="F92"/>
      <c r="G92"/>
      <c r="M92"/>
      <c r="N92" s="13" t="s">
        <v>24</v>
      </c>
      <c r="O92" s="45">
        <v>120.52353333333333</v>
      </c>
      <c r="P92" s="47" t="s">
        <v>71</v>
      </c>
      <c r="Q92" s="44"/>
      <c r="R92" s="44"/>
    </row>
  </sheetData>
  <mergeCells count="5">
    <mergeCell ref="B82:D82"/>
    <mergeCell ref="H82:J82"/>
    <mergeCell ref="N82:P82"/>
    <mergeCell ref="B2:C2"/>
    <mergeCell ref="F53:K5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TRIBUDI</dc:creator>
  <cp:lastModifiedBy>fara</cp:lastModifiedBy>
  <dcterms:created xsi:type="dcterms:W3CDTF">2024-10-18T02:54:58Z</dcterms:created>
  <dcterms:modified xsi:type="dcterms:W3CDTF">2025-05-11T10:11:45Z</dcterms:modified>
</cp:coreProperties>
</file>